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01.01.21  (2)" sheetId="2" r:id="rId1"/>
  </sheets>
  <definedNames>
    <definedName name="_xlnm.Print_Area" localSheetId="0">'01.01.21  (2)'!$A$1:$V$54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2"/>
  <c r="M46" l="1"/>
  <c r="E46"/>
  <c r="R46" l="1"/>
  <c r="S46" s="1"/>
  <c r="V46" s="1"/>
  <c r="U51"/>
  <c r="T51"/>
  <c r="P51"/>
  <c r="I51"/>
  <c r="H51"/>
  <c r="G51"/>
  <c r="F51"/>
  <c r="C51"/>
  <c r="E50"/>
  <c r="E48"/>
  <c r="O48" s="1"/>
  <c r="E47"/>
  <c r="R47" s="1"/>
  <c r="M45"/>
  <c r="M51" s="1"/>
  <c r="E45"/>
  <c r="E44"/>
  <c r="R44" s="1"/>
  <c r="E43"/>
  <c r="O43" s="1"/>
  <c r="E42"/>
  <c r="R42" s="1"/>
  <c r="E41"/>
  <c r="R41" s="1"/>
  <c r="E40"/>
  <c r="R40" s="1"/>
  <c r="E39"/>
  <c r="R39" s="1"/>
  <c r="E38"/>
  <c r="R38" s="1"/>
  <c r="E37"/>
  <c r="R37" s="1"/>
  <c r="E36"/>
  <c r="R36" s="1"/>
  <c r="J35"/>
  <c r="J51" s="1"/>
  <c r="E35"/>
  <c r="U34"/>
  <c r="T34"/>
  <c r="R34"/>
  <c r="O34"/>
  <c r="N34"/>
  <c r="M34"/>
  <c r="I34"/>
  <c r="H34"/>
  <c r="G34"/>
  <c r="E33"/>
  <c r="P33" s="1"/>
  <c r="E32"/>
  <c r="E30"/>
  <c r="L30" s="1"/>
  <c r="E28"/>
  <c r="P28" s="1"/>
  <c r="E27"/>
  <c r="P27" s="1"/>
  <c r="E26"/>
  <c r="P26" s="1"/>
  <c r="S26" s="1"/>
  <c r="L23"/>
  <c r="C23"/>
  <c r="L20"/>
  <c r="E20"/>
  <c r="E19"/>
  <c r="E17"/>
  <c r="F17" l="1"/>
  <c r="J17"/>
  <c r="P17"/>
  <c r="S17" s="1"/>
  <c r="J19"/>
  <c r="U52"/>
  <c r="L17"/>
  <c r="P30"/>
  <c r="S30" s="1"/>
  <c r="H52"/>
  <c r="M52"/>
  <c r="E51"/>
  <c r="G52"/>
  <c r="I52"/>
  <c r="O44"/>
  <c r="S44" s="1"/>
  <c r="V44" s="1"/>
  <c r="L50"/>
  <c r="R50" s="1"/>
  <c r="S50" s="1"/>
  <c r="V50" s="1"/>
  <c r="Q28"/>
  <c r="F19"/>
  <c r="L19" s="1"/>
  <c r="L27"/>
  <c r="S27" s="1"/>
  <c r="L28"/>
  <c r="T52"/>
  <c r="O49"/>
  <c r="O37"/>
  <c r="S37" s="1"/>
  <c r="V37" s="1"/>
  <c r="S38"/>
  <c r="V38" s="1"/>
  <c r="S39"/>
  <c r="V39" s="1"/>
  <c r="O41"/>
  <c r="S41" s="1"/>
  <c r="V41" s="1"/>
  <c r="L48"/>
  <c r="V26"/>
  <c r="C34"/>
  <c r="C52" s="1"/>
  <c r="D23"/>
  <c r="E23" s="1"/>
  <c r="L32"/>
  <c r="P20"/>
  <c r="S20" s="1"/>
  <c r="D20"/>
  <c r="V30"/>
  <c r="P32"/>
  <c r="Q33"/>
  <c r="L33"/>
  <c r="O36"/>
  <c r="O40"/>
  <c r="S40" s="1"/>
  <c r="V40" s="1"/>
  <c r="O42"/>
  <c r="S42" s="1"/>
  <c r="V42" s="1"/>
  <c r="R45"/>
  <c r="S45" s="1"/>
  <c r="V45" s="1"/>
  <c r="S47"/>
  <c r="V47" s="1"/>
  <c r="R35"/>
  <c r="S35" s="1"/>
  <c r="Q43"/>
  <c r="P19" l="1"/>
  <c r="L34"/>
  <c r="S19"/>
  <c r="S28"/>
  <c r="V28" s="1"/>
  <c r="L51"/>
  <c r="V27"/>
  <c r="S32"/>
  <c r="V32" s="1"/>
  <c r="J34"/>
  <c r="J52" s="1"/>
  <c r="F34"/>
  <c r="F52" s="1"/>
  <c r="S48"/>
  <c r="V48" s="1"/>
  <c r="P23"/>
  <c r="Q23"/>
  <c r="Q34" s="1"/>
  <c r="E34"/>
  <c r="E52" s="1"/>
  <c r="O51"/>
  <c r="O52" s="1"/>
  <c r="S33"/>
  <c r="V20"/>
  <c r="Q51"/>
  <c r="R43"/>
  <c r="S43" s="1"/>
  <c r="V43" s="1"/>
  <c r="S36"/>
  <c r="V36" s="1"/>
  <c r="L52"/>
  <c r="D34"/>
  <c r="Q52" l="1"/>
  <c r="P34"/>
  <c r="P52" s="1"/>
  <c r="S23"/>
  <c r="V23" s="1"/>
  <c r="V17"/>
  <c r="R51"/>
  <c r="R52" s="1"/>
  <c r="V19"/>
  <c r="V33"/>
  <c r="S51"/>
  <c r="W51" s="1"/>
  <c r="V35"/>
  <c r="V51" s="1"/>
  <c r="S34" l="1"/>
  <c r="V34"/>
  <c r="V52" s="1"/>
  <c r="S52" l="1"/>
  <c r="V58" s="1"/>
  <c r="W34"/>
  <c r="W52"/>
</calcChain>
</file>

<file path=xl/sharedStrings.xml><?xml version="1.0" encoding="utf-8"?>
<sst xmlns="http://schemas.openxmlformats.org/spreadsheetml/2006/main" count="61" uniqueCount="60">
  <si>
    <t xml:space="preserve">                                                                                                                       Штатний розпис</t>
  </si>
  <si>
    <t>ШТАТНИЙ РОЗПИС</t>
  </si>
  <si>
    <t>№</t>
  </si>
  <si>
    <t>Кількість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</si>
  <si>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</si>
  <si>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</si>
  <si>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</si>
  <si>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</si>
  <si>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</si>
  <si>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Інклюзивна доплата 20%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</si>
  <si>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</si>
  <si>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</si>
  <si>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</si>
  <si>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груп.20%</t>
  </si>
  <si>
    <t>За звання  10% -15%від посад.окладу</t>
  </si>
  <si>
    <t xml:space="preserve">За кіль-кість   дітей </t>
  </si>
  <si>
    <t>Метод об"една-ння 15%</t>
  </si>
  <si>
    <t>Вислуга років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</si>
  <si>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</si>
  <si>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</si>
  <si>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</si>
  <si>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</si>
  <si>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</si>
  <si>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>Завідувач</t>
  </si>
  <si>
    <t>Вихователь-методист</t>
  </si>
  <si>
    <t>Вихователь - яслі</t>
  </si>
  <si>
    <t>Вихов. інклюз. групи</t>
  </si>
  <si>
    <t>Вихователь садові групи</t>
  </si>
  <si>
    <t>Практичний психолог</t>
  </si>
  <si>
    <t>Музичний керівник</t>
  </si>
  <si>
    <t>Інструктор з фізкультури</t>
  </si>
  <si>
    <t>Керівник гуртка</t>
  </si>
  <si>
    <t>Асистент вихователя</t>
  </si>
  <si>
    <t>Всього педзарплата</t>
  </si>
  <si>
    <t>Завідувач господарством</t>
  </si>
  <si>
    <t>Кухар</t>
  </si>
  <si>
    <t>Підсобний робітник</t>
  </si>
  <si>
    <t>Робітник з комплексного обслуговування</t>
  </si>
  <si>
    <t>Кастелянка</t>
  </si>
  <si>
    <t>Машиніст із прання та ремонту білизни</t>
  </si>
  <si>
    <t>Прибиральник службових приміщень</t>
  </si>
  <si>
    <t xml:space="preserve">Помічник вихователя </t>
  </si>
  <si>
    <t>Помічник вихователя інклюзивної групи</t>
  </si>
  <si>
    <t>Помічник вих. дітей  до 3-х р</t>
  </si>
  <si>
    <t>Сторож</t>
  </si>
  <si>
    <t>Двірник</t>
  </si>
  <si>
    <t>Сестра медична старша</t>
  </si>
  <si>
    <t>Сестра медична з дієтхарчування</t>
  </si>
  <si>
    <t>Всього МОП</t>
  </si>
  <si>
    <t>ВСЬОГО</t>
  </si>
  <si>
    <t>Головний бухгалтер</t>
  </si>
  <si>
    <t>Н.Л. Бутенко</t>
  </si>
  <si>
    <t>Опалювач</t>
  </si>
  <si>
    <t>За складн. напруж. у роботі Рішення сесії 30%</t>
  </si>
  <si>
    <t>Доплата згідно Постанови №373 (20%)</t>
  </si>
  <si>
    <t>Фонд заробітної плати на січень-червень 2021р</t>
  </si>
  <si>
    <t>Річний фонд зарплати на січень-червень 2021р</t>
  </si>
  <si>
    <t xml:space="preserve">Бабинецький дошкільний навчальний заклад (ясла-садок) №8 "Світлячок" </t>
  </si>
  <si>
    <t>Додаток 6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</si>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</sst>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0" fontId="5" fillId="2" borderId="0" xfId="1" applyFont="1" applyFill="1"/>
    <xf numFmtId="2" fontId="2" fillId="0" borderId="0" xfId="1" applyNumberFormat="1" applyFont="1" applyFill="1"/>
    <xf numFmtId="0" fontId="2" fillId="0" borderId="0" xfId="1" applyFont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4" fontId="2" fillId="0" borderId="0" xfId="1" applyNumberFormat="1" applyFont="1" applyFill="1" applyAlignment="1"/>
    <xf numFmtId="0" fontId="4" fillId="0" borderId="0" xfId="1" applyFont="1" applyFill="1" applyAlignment="1">
      <alignment horizontal="left"/>
    </xf>
    <xf numFmtId="0" fontId="6" fillId="0" borderId="0" xfId="1" applyFont="1" applyAlignment="1"/>
    <xf numFmtId="0" fontId="6" fillId="0" borderId="0" xfId="1" applyFont="1" applyFill="1" applyAlignment="1"/>
    <xf numFmtId="2" fontId="6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/>
    <xf numFmtId="4" fontId="3" fillId="0" borderId="0" xfId="1" applyNumberFormat="1" applyFont="1" applyFill="1" applyAlignment="1">
      <alignment horizontal="left" vertical="center"/>
    </xf>
    <xf numFmtId="2" fontId="2" fillId="3" borderId="0" xfId="1" applyNumberFormat="1" applyFont="1" applyFill="1"/>
    <xf numFmtId="0" fontId="2" fillId="3" borderId="0" xfId="1" applyFont="1" applyFill="1"/>
    <xf numFmtId="0" fontId="4" fillId="0" borderId="0" xfId="1" applyFont="1"/>
    <xf numFmtId="0" fontId="8" fillId="0" borderId="0" xfId="1" applyFont="1"/>
    <xf numFmtId="0" fontId="2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3" borderId="0" xfId="1" applyFont="1" applyFill="1"/>
    <xf numFmtId="1" fontId="2" fillId="0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top" wrapText="1"/>
    </xf>
    <xf numFmtId="0" fontId="2" fillId="2" borderId="12" xfId="2" applyNumberFormat="1" applyFont="1" applyFill="1" applyBorder="1" applyAlignment="1">
      <alignment horizontal="center" vertical="center" wrapText="1"/>
    </xf>
    <xf numFmtId="4" fontId="2" fillId="2" borderId="12" xfId="2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vertical="center" wrapText="1"/>
    </xf>
    <xf numFmtId="4" fontId="2" fillId="0" borderId="12" xfId="1" applyNumberFormat="1" applyFont="1" applyFill="1" applyBorder="1" applyAlignment="1">
      <alignment vertical="center" wrapText="1"/>
    </xf>
    <xf numFmtId="0" fontId="2" fillId="3" borderId="12" xfId="1" applyFont="1" applyFill="1" applyBorder="1" applyAlignment="1">
      <alignment horizontal="center" vertical="center"/>
    </xf>
    <xf numFmtId="4" fontId="2" fillId="2" borderId="12" xfId="1" applyNumberFormat="1" applyFont="1" applyFill="1" applyBorder="1" applyAlignment="1">
      <alignment horizontal="center" vertical="top" wrapText="1"/>
    </xf>
    <xf numFmtId="4" fontId="2" fillId="2" borderId="11" xfId="1" applyNumberFormat="1" applyFont="1" applyFill="1" applyBorder="1" applyAlignment="1">
      <alignment horizontal="center" vertical="top" wrapText="1"/>
    </xf>
    <xf numFmtId="0" fontId="2" fillId="0" borderId="12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top" wrapText="1"/>
    </xf>
    <xf numFmtId="3" fontId="2" fillId="2" borderId="12" xfId="1" applyNumberFormat="1" applyFont="1" applyFill="1" applyBorder="1" applyAlignment="1">
      <alignment horizontal="center" vertical="top" wrapText="1"/>
    </xf>
    <xf numFmtId="4" fontId="2" fillId="2" borderId="12" xfId="1" applyNumberFormat="1" applyFont="1" applyFill="1" applyBorder="1"/>
    <xf numFmtId="0" fontId="2" fillId="0" borderId="12" xfId="2" applyNumberFormat="1" applyFont="1" applyFill="1" applyBorder="1" applyAlignment="1">
      <alignment horizontal="center" vertical="center" wrapText="1"/>
    </xf>
    <xf numFmtId="2" fontId="2" fillId="0" borderId="12" xfId="2" applyNumberFormat="1" applyFont="1" applyFill="1" applyBorder="1" applyAlignment="1">
      <alignment horizontal="center" vertical="center" wrapText="1"/>
    </xf>
    <xf numFmtId="3" fontId="2" fillId="0" borderId="12" xfId="1" applyNumberFormat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wrapText="1"/>
    </xf>
    <xf numFmtId="0" fontId="2" fillId="0" borderId="12" xfId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top" wrapText="1"/>
    </xf>
    <xf numFmtId="4" fontId="2" fillId="0" borderId="12" xfId="1" applyNumberFormat="1" applyFont="1" applyFill="1" applyBorder="1"/>
    <xf numFmtId="0" fontId="8" fillId="0" borderId="12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0" fontId="8" fillId="0" borderId="12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top" wrapText="1"/>
    </xf>
    <xf numFmtId="2" fontId="8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8" fillId="0" borderId="0" xfId="1" applyFont="1" applyFill="1" applyBorder="1" applyAlignment="1">
      <alignment horizontal="center" vertical="top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/>
    <xf numFmtId="0" fontId="3" fillId="2" borderId="0" xfId="1" applyFont="1" applyFill="1"/>
    <xf numFmtId="0" fontId="3" fillId="0" borderId="0" xfId="1" applyFont="1"/>
    <xf numFmtId="0" fontId="3" fillId="0" borderId="1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1" fillId="2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2" fontId="1" fillId="0" borderId="0" xfId="1" applyNumberFormat="1" applyFont="1" applyFill="1"/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top" wrapText="1"/>
    </xf>
    <xf numFmtId="2" fontId="2" fillId="2" borderId="1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2" fontId="2" fillId="0" borderId="12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8" fillId="2" borderId="11" xfId="2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11" xfId="2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2" fontId="2" fillId="2" borderId="6" xfId="2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 wrapText="1"/>
    </xf>
    <xf numFmtId="4" fontId="1" fillId="2" borderId="6" xfId="1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ДНЗ №1 Сонячний 01.01.11" xfId="1"/>
    <cellStyle name="Финансовый_ДНЗ №1 Сонячний 01.01.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6"/>
  <sheetViews>
    <sheetView tabSelected="1" view="pageBreakPreview" zoomScale="80" zoomScaleSheetLayoutView="80" workbookViewId="0">
      <selection activeCell="R3" sqref="R3:V3"/>
    </sheetView>
  </sheetViews>
  <sheetFormatPr defaultRowHeight="12.75"/>
  <cols>
    <col min="1" max="1" width="3.7109375" style="37" customWidth="1"/>
    <col min="2" max="2" width="26" style="80" customWidth="1"/>
    <col min="3" max="3" width="8" style="80" customWidth="1"/>
    <col min="4" max="4" width="9.42578125" style="80" customWidth="1"/>
    <col min="5" max="5" width="11.28515625" style="80" customWidth="1"/>
    <col min="6" max="6" width="10.28515625" style="80" customWidth="1"/>
    <col min="7" max="7" width="10.7109375" style="80" customWidth="1"/>
    <col min="8" max="8" width="5.5703125" style="80" customWidth="1"/>
    <col min="9" max="9" width="8.7109375" style="80" customWidth="1"/>
    <col min="10" max="10" width="10.42578125" style="80" customWidth="1"/>
    <col min="11" max="11" width="7.85546875" style="80" customWidth="1"/>
    <col min="12" max="12" width="12" style="80" customWidth="1"/>
    <col min="13" max="13" width="9.7109375" style="80" customWidth="1"/>
    <col min="14" max="14" width="4.5703125" style="80" customWidth="1"/>
    <col min="15" max="15" width="9" style="80" customWidth="1"/>
    <col min="16" max="17" width="10" style="80" customWidth="1"/>
    <col min="18" max="18" width="10.42578125" style="80" customWidth="1"/>
    <col min="19" max="19" width="11.5703125" style="80" customWidth="1"/>
    <col min="20" max="20" width="10.5703125" style="80" customWidth="1"/>
    <col min="21" max="21" width="13.85546875" style="80" customWidth="1"/>
    <col min="22" max="22" width="15.28515625" style="80" customWidth="1"/>
    <col min="23" max="23" width="10" style="37" bestFit="1" customWidth="1"/>
    <col min="24" max="16384" width="9.140625" style="37"/>
  </cols>
  <sheetData>
    <row r="1" spans="1:24" s="1" customFormat="1" ht="1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4"/>
      <c r="T1" s="4"/>
      <c r="U1" s="5"/>
      <c r="V1" s="2"/>
    </row>
    <row r="2" spans="1:24" s="1" customFormat="1" ht="18.75">
      <c r="B2" s="6"/>
      <c r="C2" s="2"/>
      <c r="D2" s="2"/>
      <c r="E2" s="7"/>
      <c r="F2" s="2"/>
      <c r="G2" s="2"/>
      <c r="H2" s="2"/>
      <c r="I2" s="2"/>
      <c r="J2" s="2"/>
      <c r="K2" s="2"/>
      <c r="L2" s="7"/>
      <c r="M2" s="2"/>
      <c r="N2" s="2"/>
      <c r="O2" s="2"/>
      <c r="P2" s="2"/>
      <c r="Q2" s="2"/>
      <c r="R2" s="114" t="s">
        <v>58</v>
      </c>
      <c r="S2" s="114"/>
      <c r="T2" s="114"/>
      <c r="U2" s="114"/>
      <c r="V2" s="114"/>
    </row>
    <row r="3" spans="1:24" s="1" customFormat="1" ht="1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7"/>
      <c r="M3" s="2"/>
      <c r="N3" s="2"/>
      <c r="O3" s="2"/>
      <c r="P3" s="2"/>
      <c r="Q3" s="2"/>
      <c r="R3" s="115" t="s">
        <v>59</v>
      </c>
      <c r="S3" s="115"/>
      <c r="T3" s="115"/>
      <c r="U3" s="115"/>
      <c r="V3" s="115"/>
    </row>
    <row r="4" spans="1:24" s="1" customFormat="1" ht="15">
      <c r="A4" s="8"/>
      <c r="B4" s="9"/>
      <c r="C4" s="9"/>
      <c r="D4" s="9"/>
      <c r="E4" s="9"/>
      <c r="F4" s="10"/>
      <c r="G4" s="9"/>
      <c r="H4" s="9"/>
      <c r="I4" s="9"/>
      <c r="J4" s="9"/>
      <c r="K4" s="9"/>
      <c r="L4" s="11"/>
      <c r="M4" s="9"/>
      <c r="N4" s="9"/>
      <c r="O4" s="9"/>
      <c r="P4" s="9"/>
      <c r="Q4" s="9"/>
      <c r="R4" s="12"/>
      <c r="S4" s="12"/>
      <c r="T4" s="12"/>
      <c r="U4" s="12"/>
      <c r="V4" s="2"/>
    </row>
    <row r="5" spans="1:24" s="1" customFormat="1" ht="15">
      <c r="A5" s="13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6"/>
      <c r="S5" s="4"/>
      <c r="T5" s="4"/>
      <c r="U5" s="5"/>
      <c r="V5" s="2"/>
    </row>
    <row r="6" spans="1:24" s="26" customFormat="1" ht="18.75">
      <c r="A6" s="17" t="s">
        <v>0</v>
      </c>
      <c r="B6" s="18"/>
      <c r="C6" s="18"/>
      <c r="D6" s="105"/>
      <c r="E6" s="105"/>
      <c r="F6" s="116" t="s">
        <v>1</v>
      </c>
      <c r="G6" s="116"/>
      <c r="H6" s="116"/>
      <c r="I6" s="116"/>
      <c r="J6" s="116"/>
      <c r="K6" s="116"/>
      <c r="L6" s="116"/>
      <c r="M6" s="116"/>
      <c r="N6" s="105"/>
      <c r="O6" s="19"/>
      <c r="P6" s="19"/>
      <c r="Q6" s="19"/>
      <c r="R6" s="20"/>
      <c r="S6" s="21"/>
      <c r="T6" s="22"/>
      <c r="U6" s="23"/>
      <c r="V6" s="4"/>
      <c r="W6" s="24"/>
      <c r="X6" s="25"/>
    </row>
    <row r="7" spans="1:24" s="1" customFormat="1" ht="15.75">
      <c r="A7" s="27"/>
      <c r="B7" s="2"/>
      <c r="C7" s="2"/>
      <c r="D7" s="28"/>
      <c r="E7" s="29" t="s">
        <v>57</v>
      </c>
      <c r="F7" s="29"/>
      <c r="G7" s="29"/>
      <c r="H7" s="29"/>
      <c r="I7" s="29"/>
      <c r="J7" s="29"/>
      <c r="K7" s="29"/>
      <c r="L7" s="29"/>
      <c r="M7" s="29"/>
      <c r="N7" s="28"/>
      <c r="O7" s="28"/>
      <c r="P7" s="28"/>
      <c r="Q7" s="28"/>
      <c r="R7" s="28"/>
      <c r="S7" s="28"/>
      <c r="T7" s="28"/>
      <c r="U7" s="30"/>
      <c r="V7" s="28"/>
      <c r="W7" s="25"/>
      <c r="X7" s="25"/>
    </row>
    <row r="8" spans="1:24" s="1" customFormat="1" ht="12.75" customHeight="1">
      <c r="A8" s="117" t="s">
        <v>2</v>
      </c>
      <c r="B8" s="120"/>
      <c r="C8" s="120" t="s">
        <v>3</v>
      </c>
      <c r="D8" s="120" t="s">
        <v>4</v>
      </c>
      <c r="E8" s="120" t="s">
        <v>5</v>
      </c>
      <c r="F8" s="123" t="s">
        <v>6</v>
      </c>
      <c r="G8" s="124"/>
      <c r="H8" s="125"/>
      <c r="I8" s="132" t="s">
        <v>7</v>
      </c>
      <c r="J8" s="133"/>
      <c r="K8" s="133"/>
      <c r="L8" s="134"/>
      <c r="M8" s="123" t="s">
        <v>8</v>
      </c>
      <c r="N8" s="124"/>
      <c r="O8" s="125"/>
      <c r="P8" s="120" t="s">
        <v>54</v>
      </c>
      <c r="Q8" s="120" t="s">
        <v>9</v>
      </c>
      <c r="R8" s="120" t="s">
        <v>10</v>
      </c>
      <c r="S8" s="120" t="s">
        <v>55</v>
      </c>
      <c r="T8" s="120" t="s">
        <v>11</v>
      </c>
      <c r="U8" s="120" t="s">
        <v>12</v>
      </c>
      <c r="V8" s="141" t="s">
        <v>56</v>
      </c>
      <c r="W8" s="25"/>
      <c r="X8" s="25"/>
    </row>
    <row r="9" spans="1:24" s="1" customFormat="1" ht="12.75" hidden="1" customHeight="1">
      <c r="A9" s="118"/>
      <c r="B9" s="121"/>
      <c r="C9" s="121"/>
      <c r="D9" s="121"/>
      <c r="E9" s="121"/>
      <c r="F9" s="126"/>
      <c r="G9" s="127"/>
      <c r="H9" s="128"/>
      <c r="I9" s="135"/>
      <c r="J9" s="136"/>
      <c r="K9" s="136"/>
      <c r="L9" s="137"/>
      <c r="M9" s="126"/>
      <c r="N9" s="127"/>
      <c r="O9" s="128"/>
      <c r="P9" s="121"/>
      <c r="Q9" s="121"/>
      <c r="R9" s="162"/>
      <c r="S9" s="121"/>
      <c r="T9" s="121"/>
      <c r="U9" s="121"/>
      <c r="V9" s="143"/>
      <c r="W9" s="25"/>
      <c r="X9" s="25"/>
    </row>
    <row r="10" spans="1:24" s="1" customFormat="1">
      <c r="A10" s="118"/>
      <c r="B10" s="121"/>
      <c r="C10" s="121"/>
      <c r="D10" s="121"/>
      <c r="E10" s="121"/>
      <c r="F10" s="129"/>
      <c r="G10" s="130"/>
      <c r="H10" s="131"/>
      <c r="I10" s="138"/>
      <c r="J10" s="139"/>
      <c r="K10" s="139"/>
      <c r="L10" s="140"/>
      <c r="M10" s="129"/>
      <c r="N10" s="130"/>
      <c r="O10" s="131"/>
      <c r="P10" s="121"/>
      <c r="Q10" s="121"/>
      <c r="R10" s="162"/>
      <c r="S10" s="121"/>
      <c r="T10" s="121"/>
      <c r="U10" s="121"/>
      <c r="V10" s="143"/>
      <c r="W10" s="25"/>
      <c r="X10" s="25"/>
    </row>
    <row r="11" spans="1:24" s="1" customFormat="1" ht="12.75" customHeight="1">
      <c r="A11" s="118"/>
      <c r="B11" s="121"/>
      <c r="C11" s="121"/>
      <c r="D11" s="121"/>
      <c r="E11" s="121"/>
      <c r="F11" s="120" t="s">
        <v>13</v>
      </c>
      <c r="G11" s="120" t="s">
        <v>14</v>
      </c>
      <c r="H11" s="120" t="s">
        <v>15</v>
      </c>
      <c r="I11" s="141" t="s">
        <v>16</v>
      </c>
      <c r="J11" s="141" t="s">
        <v>53</v>
      </c>
      <c r="K11" s="132" t="s">
        <v>17</v>
      </c>
      <c r="L11" s="134"/>
      <c r="M11" s="120" t="s">
        <v>18</v>
      </c>
      <c r="N11" s="123" t="s">
        <v>19</v>
      </c>
      <c r="O11" s="125"/>
      <c r="P11" s="121"/>
      <c r="Q11" s="121"/>
      <c r="R11" s="162"/>
      <c r="S11" s="121"/>
      <c r="T11" s="121"/>
      <c r="U11" s="121"/>
      <c r="V11" s="143"/>
      <c r="W11" s="25"/>
      <c r="X11" s="25"/>
    </row>
    <row r="12" spans="1:24" s="1" customFormat="1">
      <c r="A12" s="118"/>
      <c r="B12" s="121"/>
      <c r="C12" s="121"/>
      <c r="D12" s="121"/>
      <c r="E12" s="121"/>
      <c r="F12" s="121"/>
      <c r="G12" s="121"/>
      <c r="H12" s="121"/>
      <c r="I12" s="143"/>
      <c r="J12" s="143"/>
      <c r="K12" s="135"/>
      <c r="L12" s="137"/>
      <c r="M12" s="121"/>
      <c r="N12" s="126"/>
      <c r="O12" s="128"/>
      <c r="P12" s="121"/>
      <c r="Q12" s="121"/>
      <c r="R12" s="162"/>
      <c r="S12" s="121"/>
      <c r="T12" s="121"/>
      <c r="U12" s="121"/>
      <c r="V12" s="143"/>
      <c r="W12" s="25"/>
      <c r="X12" s="25"/>
    </row>
    <row r="13" spans="1:24" s="1" customFormat="1">
      <c r="A13" s="118"/>
      <c r="B13" s="121"/>
      <c r="C13" s="121"/>
      <c r="D13" s="121"/>
      <c r="E13" s="121"/>
      <c r="F13" s="121"/>
      <c r="G13" s="121"/>
      <c r="H13" s="121"/>
      <c r="I13" s="143"/>
      <c r="J13" s="143"/>
      <c r="K13" s="135"/>
      <c r="L13" s="137"/>
      <c r="M13" s="121"/>
      <c r="N13" s="126"/>
      <c r="O13" s="128"/>
      <c r="P13" s="121"/>
      <c r="Q13" s="121"/>
      <c r="R13" s="162"/>
      <c r="S13" s="121"/>
      <c r="T13" s="121"/>
      <c r="U13" s="121"/>
      <c r="V13" s="143"/>
      <c r="W13" s="25"/>
      <c r="X13" s="25"/>
    </row>
    <row r="14" spans="1:24" s="1" customFormat="1">
      <c r="A14" s="118"/>
      <c r="B14" s="121"/>
      <c r="C14" s="121"/>
      <c r="D14" s="121"/>
      <c r="E14" s="121"/>
      <c r="F14" s="121"/>
      <c r="G14" s="121"/>
      <c r="H14" s="121"/>
      <c r="I14" s="143"/>
      <c r="J14" s="143"/>
      <c r="K14" s="138"/>
      <c r="L14" s="140"/>
      <c r="M14" s="121"/>
      <c r="N14" s="126"/>
      <c r="O14" s="128"/>
      <c r="P14" s="121"/>
      <c r="Q14" s="121"/>
      <c r="R14" s="162"/>
      <c r="S14" s="121"/>
      <c r="T14" s="121"/>
      <c r="U14" s="121"/>
      <c r="V14" s="143"/>
      <c r="W14" s="25"/>
      <c r="X14" s="25"/>
    </row>
    <row r="15" spans="1:24" s="1" customFormat="1" ht="9" customHeight="1">
      <c r="A15" s="118"/>
      <c r="B15" s="121"/>
      <c r="C15" s="121"/>
      <c r="D15" s="121"/>
      <c r="E15" s="121"/>
      <c r="F15" s="121"/>
      <c r="G15" s="121"/>
      <c r="H15" s="121"/>
      <c r="I15" s="143"/>
      <c r="J15" s="143"/>
      <c r="K15" s="141" t="s">
        <v>20</v>
      </c>
      <c r="L15" s="141" t="s">
        <v>21</v>
      </c>
      <c r="M15" s="122"/>
      <c r="N15" s="129"/>
      <c r="O15" s="131"/>
      <c r="P15" s="121"/>
      <c r="Q15" s="121"/>
      <c r="R15" s="162"/>
      <c r="S15" s="121"/>
      <c r="T15" s="121"/>
      <c r="U15" s="121"/>
      <c r="V15" s="143"/>
      <c r="W15" s="25"/>
      <c r="X15" s="25"/>
    </row>
    <row r="16" spans="1:24" s="1" customFormat="1" ht="14.25" customHeight="1">
      <c r="A16" s="119"/>
      <c r="B16" s="122"/>
      <c r="C16" s="122"/>
      <c r="D16" s="122"/>
      <c r="E16" s="122"/>
      <c r="F16" s="122"/>
      <c r="G16" s="122"/>
      <c r="H16" s="122"/>
      <c r="I16" s="142"/>
      <c r="J16" s="142"/>
      <c r="K16" s="142"/>
      <c r="L16" s="142"/>
      <c r="M16" s="31"/>
      <c r="N16" s="31" t="s">
        <v>20</v>
      </c>
      <c r="O16" s="31" t="s">
        <v>22</v>
      </c>
      <c r="P16" s="122"/>
      <c r="Q16" s="122"/>
      <c r="R16" s="163"/>
      <c r="S16" s="122"/>
      <c r="T16" s="122"/>
      <c r="U16" s="122"/>
      <c r="V16" s="142"/>
      <c r="W16" s="25"/>
      <c r="X16" s="25"/>
    </row>
    <row r="17" spans="1:24" s="25" customFormat="1">
      <c r="A17" s="144">
        <v>1</v>
      </c>
      <c r="B17" s="146" t="s">
        <v>23</v>
      </c>
      <c r="C17" s="148">
        <v>1</v>
      </c>
      <c r="D17" s="150">
        <v>8194</v>
      </c>
      <c r="E17" s="150">
        <f>D17*C17</f>
        <v>8194</v>
      </c>
      <c r="F17" s="152">
        <f>E17*0.2</f>
        <v>1638.8000000000002</v>
      </c>
      <c r="G17" s="150"/>
      <c r="H17" s="150"/>
      <c r="I17" s="164"/>
      <c r="J17" s="164">
        <f>(E17+F17+H17)*0.3</f>
        <v>2949.8399999999997</v>
      </c>
      <c r="K17" s="166">
        <v>30</v>
      </c>
      <c r="L17" s="154">
        <f>(E17+G17+F17+H17)*K17%</f>
        <v>2949.8399999999997</v>
      </c>
      <c r="M17" s="111"/>
      <c r="N17" s="111"/>
      <c r="O17" s="111"/>
      <c r="P17" s="111">
        <f>(E17+F17+G17+H17)*0.2</f>
        <v>1966.56</v>
      </c>
      <c r="Q17" s="111"/>
      <c r="R17" s="111"/>
      <c r="S17" s="111">
        <f>P17+L17+J17+F17+E17</f>
        <v>17699.04</v>
      </c>
      <c r="T17" s="111"/>
      <c r="U17" s="111"/>
      <c r="V17" s="154">
        <f>(S17*6)+T17+U17</f>
        <v>106194.24000000001</v>
      </c>
      <c r="W17" s="32"/>
      <c r="X17" s="32"/>
    </row>
    <row r="18" spans="1:24" s="25" customFormat="1">
      <c r="A18" s="145"/>
      <c r="B18" s="147"/>
      <c r="C18" s="149"/>
      <c r="D18" s="151"/>
      <c r="E18" s="151"/>
      <c r="F18" s="153"/>
      <c r="G18" s="151"/>
      <c r="H18" s="151"/>
      <c r="I18" s="165"/>
      <c r="J18" s="165"/>
      <c r="K18" s="167"/>
      <c r="L18" s="156"/>
      <c r="M18" s="113"/>
      <c r="N18" s="113"/>
      <c r="O18" s="113"/>
      <c r="P18" s="113"/>
      <c r="Q18" s="113"/>
      <c r="R18" s="158"/>
      <c r="S18" s="113"/>
      <c r="T18" s="113"/>
      <c r="U18" s="113"/>
      <c r="V18" s="156"/>
    </row>
    <row r="19" spans="1:24" s="25" customFormat="1" ht="21.75" customHeight="1">
      <c r="A19" s="102">
        <v>2</v>
      </c>
      <c r="B19" s="97" t="s">
        <v>24</v>
      </c>
      <c r="C19" s="98">
        <v>0.5</v>
      </c>
      <c r="D19" s="99">
        <v>7107</v>
      </c>
      <c r="E19" s="99">
        <f>C19*D19</f>
        <v>3553.5</v>
      </c>
      <c r="F19" s="99">
        <f>E19*0.2</f>
        <v>710.7</v>
      </c>
      <c r="G19" s="99"/>
      <c r="H19" s="99"/>
      <c r="I19" s="89"/>
      <c r="J19" s="89">
        <f>(E19+F19)*0.3</f>
        <v>1279.26</v>
      </c>
      <c r="K19" s="33">
        <v>30</v>
      </c>
      <c r="L19" s="86">
        <f>(E19+F19+G19)*0.3</f>
        <v>1279.26</v>
      </c>
      <c r="M19" s="85"/>
      <c r="N19" s="85"/>
      <c r="O19" s="85"/>
      <c r="P19" s="85">
        <f>(E19+F19+G19+H19)*0.2</f>
        <v>852.84</v>
      </c>
      <c r="Q19" s="85"/>
      <c r="R19" s="85"/>
      <c r="S19" s="85">
        <f>E19+F19+J19+L19+P19</f>
        <v>7675.56</v>
      </c>
      <c r="T19" s="85"/>
      <c r="U19" s="85"/>
      <c r="V19" s="86">
        <f>(S19*6)+T19+U19</f>
        <v>46053.36</v>
      </c>
    </row>
    <row r="20" spans="1:24" s="25" customFormat="1" ht="9.75" customHeight="1">
      <c r="A20" s="144">
        <v>3</v>
      </c>
      <c r="B20" s="146" t="s">
        <v>25</v>
      </c>
      <c r="C20" s="170">
        <v>1.55</v>
      </c>
      <c r="D20" s="150">
        <f>E20/C20</f>
        <v>5786.0000000000009</v>
      </c>
      <c r="E20" s="150">
        <f>5786*1.55</f>
        <v>8968.3000000000011</v>
      </c>
      <c r="F20" s="150"/>
      <c r="G20" s="152"/>
      <c r="H20" s="150"/>
      <c r="I20" s="164"/>
      <c r="J20" s="164"/>
      <c r="K20" s="174">
        <v>30</v>
      </c>
      <c r="L20" s="154">
        <f>5786*1.55*0.3</f>
        <v>2690.4900000000002</v>
      </c>
      <c r="M20" s="111"/>
      <c r="N20" s="111"/>
      <c r="O20" s="111"/>
      <c r="P20" s="111">
        <f>(E20+F20+G20+H20)*0.2</f>
        <v>1793.6600000000003</v>
      </c>
      <c r="Q20" s="95"/>
      <c r="R20" s="111"/>
      <c r="S20" s="111">
        <f>P20+L20+E20</f>
        <v>13452.45</v>
      </c>
      <c r="T20" s="159"/>
      <c r="U20" s="159"/>
      <c r="V20" s="154">
        <f>S20*6+T20+U20</f>
        <v>80714.700000000012</v>
      </c>
    </row>
    <row r="21" spans="1:24" s="25" customFormat="1" ht="10.5" customHeight="1">
      <c r="A21" s="168"/>
      <c r="B21" s="169"/>
      <c r="C21" s="171"/>
      <c r="D21" s="172"/>
      <c r="E21" s="172"/>
      <c r="F21" s="172"/>
      <c r="G21" s="177"/>
      <c r="H21" s="172"/>
      <c r="I21" s="178"/>
      <c r="J21" s="178"/>
      <c r="K21" s="175"/>
      <c r="L21" s="155"/>
      <c r="M21" s="112"/>
      <c r="N21" s="112"/>
      <c r="O21" s="112"/>
      <c r="P21" s="112"/>
      <c r="Q21" s="101"/>
      <c r="R21" s="157"/>
      <c r="S21" s="112"/>
      <c r="T21" s="160"/>
      <c r="U21" s="160"/>
      <c r="V21" s="155"/>
    </row>
    <row r="22" spans="1:24" s="25" customFormat="1" ht="1.5" customHeight="1">
      <c r="A22" s="145"/>
      <c r="B22" s="147"/>
      <c r="C22" s="173"/>
      <c r="D22" s="151"/>
      <c r="E22" s="151"/>
      <c r="F22" s="151"/>
      <c r="G22" s="153"/>
      <c r="H22" s="151"/>
      <c r="I22" s="165"/>
      <c r="J22" s="165"/>
      <c r="K22" s="176"/>
      <c r="L22" s="156"/>
      <c r="M22" s="113"/>
      <c r="N22" s="113"/>
      <c r="O22" s="113"/>
      <c r="P22" s="113"/>
      <c r="Q22" s="96"/>
      <c r="R22" s="158"/>
      <c r="S22" s="113"/>
      <c r="T22" s="161"/>
      <c r="U22" s="161"/>
      <c r="V22" s="156"/>
    </row>
    <row r="23" spans="1:24" s="25" customFormat="1" ht="12" customHeight="1">
      <c r="A23" s="144">
        <v>5</v>
      </c>
      <c r="B23" s="146" t="s">
        <v>26</v>
      </c>
      <c r="C23" s="170">
        <f>1.55*30/25</f>
        <v>1.86</v>
      </c>
      <c r="D23" s="150">
        <f>(5786*1.86)/C23</f>
        <v>5786</v>
      </c>
      <c r="E23" s="150">
        <f>C23*D23</f>
        <v>10761.960000000001</v>
      </c>
      <c r="F23" s="150"/>
      <c r="G23" s="152"/>
      <c r="H23" s="150"/>
      <c r="I23" s="164"/>
      <c r="J23" s="164"/>
      <c r="K23" s="174">
        <v>30</v>
      </c>
      <c r="L23" s="154">
        <f>(5786*1.86)*0.3</f>
        <v>3228.5880000000002</v>
      </c>
      <c r="M23" s="111"/>
      <c r="N23" s="111"/>
      <c r="O23" s="111"/>
      <c r="P23" s="111">
        <f>(E23+F23+G23)*0.2</f>
        <v>2152.3920000000003</v>
      </c>
      <c r="Q23" s="111">
        <f>E23*0.2</f>
        <v>2152.3920000000003</v>
      </c>
      <c r="R23" s="179"/>
      <c r="S23" s="111">
        <f>Q23+P23+L23+E23</f>
        <v>18295.332000000002</v>
      </c>
      <c r="T23" s="159"/>
      <c r="U23" s="159"/>
      <c r="V23" s="154">
        <f>(S23*6)+T23+U23</f>
        <v>109771.99200000001</v>
      </c>
      <c r="W23" s="1"/>
      <c r="X23" s="1"/>
    </row>
    <row r="24" spans="1:24" s="25" customFormat="1" ht="11.25" customHeight="1">
      <c r="A24" s="168"/>
      <c r="B24" s="169"/>
      <c r="C24" s="171"/>
      <c r="D24" s="172"/>
      <c r="E24" s="172"/>
      <c r="F24" s="172"/>
      <c r="G24" s="177"/>
      <c r="H24" s="172"/>
      <c r="I24" s="178"/>
      <c r="J24" s="178"/>
      <c r="K24" s="175"/>
      <c r="L24" s="155"/>
      <c r="M24" s="112"/>
      <c r="N24" s="112"/>
      <c r="O24" s="112"/>
      <c r="P24" s="112"/>
      <c r="Q24" s="112"/>
      <c r="R24" s="180"/>
      <c r="S24" s="112"/>
      <c r="T24" s="160"/>
      <c r="U24" s="160"/>
      <c r="V24" s="155"/>
      <c r="W24" s="1"/>
      <c r="X24" s="1"/>
    </row>
    <row r="25" spans="1:24" s="25" customFormat="1" ht="12" customHeight="1">
      <c r="A25" s="168"/>
      <c r="B25" s="169"/>
      <c r="C25" s="171"/>
      <c r="D25" s="172"/>
      <c r="E25" s="172"/>
      <c r="F25" s="172"/>
      <c r="G25" s="177"/>
      <c r="H25" s="172"/>
      <c r="I25" s="178"/>
      <c r="J25" s="178"/>
      <c r="K25" s="176"/>
      <c r="L25" s="156"/>
      <c r="M25" s="112"/>
      <c r="N25" s="112"/>
      <c r="O25" s="112"/>
      <c r="P25" s="112"/>
      <c r="Q25" s="112"/>
      <c r="R25" s="180"/>
      <c r="S25" s="112"/>
      <c r="T25" s="160"/>
      <c r="U25" s="160"/>
      <c r="V25" s="155"/>
      <c r="W25" s="27"/>
      <c r="X25" s="27"/>
    </row>
    <row r="26" spans="1:24" s="25" customFormat="1" ht="15">
      <c r="A26" s="102">
        <v>7</v>
      </c>
      <c r="B26" s="97" t="s">
        <v>27</v>
      </c>
      <c r="C26" s="35">
        <v>3.35</v>
      </c>
      <c r="D26" s="99">
        <v>6226</v>
      </c>
      <c r="E26" s="99">
        <f>D26*C26</f>
        <v>20857.100000000002</v>
      </c>
      <c r="F26" s="99"/>
      <c r="G26" s="99"/>
      <c r="H26" s="99"/>
      <c r="I26" s="89"/>
      <c r="J26" s="89"/>
      <c r="K26" s="34">
        <v>30</v>
      </c>
      <c r="L26" s="86">
        <f>6226*3.35*0.3</f>
        <v>6257.13</v>
      </c>
      <c r="M26" s="85"/>
      <c r="N26" s="85"/>
      <c r="O26" s="85"/>
      <c r="P26" s="85">
        <f>E26*0.2</f>
        <v>4171.420000000001</v>
      </c>
      <c r="Q26" s="85"/>
      <c r="R26" s="100"/>
      <c r="S26" s="85">
        <f>P26+L26+E26</f>
        <v>31285.65</v>
      </c>
      <c r="T26" s="36"/>
      <c r="U26" s="36"/>
      <c r="V26" s="86">
        <f>S26*6+T26+U26</f>
        <v>187713.90000000002</v>
      </c>
      <c r="W26" s="37"/>
      <c r="X26" s="37"/>
    </row>
    <row r="27" spans="1:24" s="25" customFormat="1" ht="19.5" customHeight="1">
      <c r="A27" s="87">
        <v>8</v>
      </c>
      <c r="B27" s="88" t="s">
        <v>28</v>
      </c>
      <c r="C27" s="104">
        <v>0.75</v>
      </c>
      <c r="D27" s="94">
        <v>7107</v>
      </c>
      <c r="E27" s="94">
        <f>D27*C27</f>
        <v>5330.25</v>
      </c>
      <c r="F27" s="94"/>
      <c r="G27" s="94"/>
      <c r="H27" s="94"/>
      <c r="I27" s="83"/>
      <c r="J27" s="83"/>
      <c r="K27" s="84">
        <v>30</v>
      </c>
      <c r="L27" s="92">
        <f>(E27+G27)*0.3</f>
        <v>1599.075</v>
      </c>
      <c r="M27" s="96"/>
      <c r="N27" s="96"/>
      <c r="O27" s="96"/>
      <c r="P27" s="96">
        <f>(E27+F27+G27+H27)*0.2</f>
        <v>1066.05</v>
      </c>
      <c r="Q27" s="96"/>
      <c r="R27" s="96"/>
      <c r="S27" s="96">
        <f>P27+L27+E27</f>
        <v>7995.375</v>
      </c>
      <c r="T27" s="96"/>
      <c r="U27" s="96"/>
      <c r="V27" s="92">
        <f>S27*6+T27+U27</f>
        <v>47972.25</v>
      </c>
      <c r="W27" s="37"/>
      <c r="X27" s="37"/>
    </row>
    <row r="28" spans="1:24" s="25" customFormat="1" ht="5.25" customHeight="1">
      <c r="A28" s="144">
        <v>9</v>
      </c>
      <c r="B28" s="146" t="s">
        <v>29</v>
      </c>
      <c r="C28" s="170">
        <v>1</v>
      </c>
      <c r="D28" s="164">
        <v>4619</v>
      </c>
      <c r="E28" s="150">
        <f>D28*C28</f>
        <v>4619</v>
      </c>
      <c r="F28" s="152"/>
      <c r="G28" s="150"/>
      <c r="H28" s="150"/>
      <c r="I28" s="164"/>
      <c r="J28" s="164"/>
      <c r="K28" s="141">
        <v>30</v>
      </c>
      <c r="L28" s="154">
        <f>(E28+F28+G28)*0.3</f>
        <v>1385.7</v>
      </c>
      <c r="M28" s="111"/>
      <c r="N28" s="111"/>
      <c r="O28" s="111"/>
      <c r="P28" s="111">
        <f>(E28+F28+G28+H28)*0.2</f>
        <v>923.80000000000007</v>
      </c>
      <c r="Q28" s="111">
        <f>E28*0.25*0.2</f>
        <v>230.95000000000002</v>
      </c>
      <c r="R28" s="111"/>
      <c r="S28" s="111">
        <f>P28+Q28+L28+E28</f>
        <v>7159.45</v>
      </c>
      <c r="T28" s="111"/>
      <c r="U28" s="111"/>
      <c r="V28" s="154">
        <f>S28*6+T28+U28</f>
        <v>42956.7</v>
      </c>
      <c r="W28" s="37"/>
      <c r="X28" s="37"/>
    </row>
    <row r="29" spans="1:24" s="25" customFormat="1">
      <c r="A29" s="145"/>
      <c r="B29" s="147"/>
      <c r="C29" s="173"/>
      <c r="D29" s="165"/>
      <c r="E29" s="151"/>
      <c r="F29" s="153"/>
      <c r="G29" s="151"/>
      <c r="H29" s="151"/>
      <c r="I29" s="165"/>
      <c r="J29" s="165"/>
      <c r="K29" s="142"/>
      <c r="L29" s="156"/>
      <c r="M29" s="113"/>
      <c r="N29" s="113"/>
      <c r="O29" s="113"/>
      <c r="P29" s="113"/>
      <c r="Q29" s="113"/>
      <c r="R29" s="158"/>
      <c r="S29" s="113"/>
      <c r="T29" s="113"/>
      <c r="U29" s="113"/>
      <c r="V29" s="156"/>
      <c r="W29" s="37"/>
      <c r="X29" s="37"/>
    </row>
    <row r="30" spans="1:24" s="25" customFormat="1" ht="12.75" customHeight="1">
      <c r="A30" s="144">
        <v>10</v>
      </c>
      <c r="B30" s="185" t="s">
        <v>30</v>
      </c>
      <c r="C30" s="186">
        <v>0.5</v>
      </c>
      <c r="D30" s="187">
        <v>6226</v>
      </c>
      <c r="E30" s="188">
        <f>D30*C30</f>
        <v>3113</v>
      </c>
      <c r="F30" s="188"/>
      <c r="G30" s="187"/>
      <c r="H30" s="187"/>
      <c r="I30" s="192"/>
      <c r="J30" s="192"/>
      <c r="K30" s="38">
        <v>30</v>
      </c>
      <c r="L30" s="86">
        <f>E30*0.3</f>
        <v>933.9</v>
      </c>
      <c r="M30" s="181"/>
      <c r="N30" s="181"/>
      <c r="O30" s="181"/>
      <c r="P30" s="181">
        <f>(E30+F30+G30+H30)*0.2</f>
        <v>622.6</v>
      </c>
      <c r="Q30" s="85"/>
      <c r="R30" s="181"/>
      <c r="S30" s="181">
        <f>P30+L30+E30</f>
        <v>4669.5</v>
      </c>
      <c r="T30" s="181"/>
      <c r="U30" s="181"/>
      <c r="V30" s="189">
        <f>S30*6+T30+U30</f>
        <v>28017</v>
      </c>
      <c r="W30" s="37"/>
      <c r="X30" s="37"/>
    </row>
    <row r="31" spans="1:24" s="25" customFormat="1" ht="11.25" customHeight="1">
      <c r="A31" s="145"/>
      <c r="B31" s="185"/>
      <c r="C31" s="186"/>
      <c r="D31" s="187"/>
      <c r="E31" s="188"/>
      <c r="F31" s="188"/>
      <c r="G31" s="187"/>
      <c r="H31" s="187"/>
      <c r="I31" s="192"/>
      <c r="J31" s="192"/>
      <c r="K31" s="39"/>
      <c r="L31" s="40"/>
      <c r="M31" s="181"/>
      <c r="N31" s="181"/>
      <c r="O31" s="181"/>
      <c r="P31" s="181"/>
      <c r="Q31" s="85"/>
      <c r="R31" s="182"/>
      <c r="S31" s="181"/>
      <c r="T31" s="181"/>
      <c r="U31" s="181"/>
      <c r="V31" s="189"/>
      <c r="W31" s="37"/>
      <c r="X31" s="37"/>
    </row>
    <row r="32" spans="1:24" s="25" customFormat="1" ht="12.75" customHeight="1">
      <c r="A32" s="41">
        <v>11</v>
      </c>
      <c r="B32" s="97" t="s">
        <v>31</v>
      </c>
      <c r="C32" s="35">
        <v>0.5</v>
      </c>
      <c r="D32" s="99">
        <v>6226</v>
      </c>
      <c r="E32" s="99">
        <f>D32*C32</f>
        <v>3113</v>
      </c>
      <c r="F32" s="99"/>
      <c r="G32" s="99"/>
      <c r="H32" s="99"/>
      <c r="I32" s="89"/>
      <c r="J32" s="89"/>
      <c r="K32" s="38">
        <v>30</v>
      </c>
      <c r="L32" s="86">
        <f>E32*0.3</f>
        <v>933.9</v>
      </c>
      <c r="M32" s="42"/>
      <c r="N32" s="42"/>
      <c r="O32" s="42"/>
      <c r="P32" s="85">
        <f>(E32+F32+G32+H32)*0.2</f>
        <v>622.6</v>
      </c>
      <c r="Q32" s="85"/>
      <c r="R32" s="85"/>
      <c r="S32" s="85">
        <f>E32+L32+P32+F32</f>
        <v>4669.5</v>
      </c>
      <c r="T32" s="36"/>
      <c r="U32" s="36"/>
      <c r="V32" s="86">
        <f>S32*6+T32+U32</f>
        <v>28017</v>
      </c>
      <c r="W32" s="37"/>
      <c r="X32" s="37"/>
    </row>
    <row r="33" spans="1:24" s="25" customFormat="1" ht="14.25" customHeight="1">
      <c r="A33" s="41">
        <v>12</v>
      </c>
      <c r="B33" s="88" t="s">
        <v>32</v>
      </c>
      <c r="C33" s="104">
        <v>1</v>
      </c>
      <c r="D33" s="94">
        <v>5345</v>
      </c>
      <c r="E33" s="94">
        <f>D33*C33</f>
        <v>5345</v>
      </c>
      <c r="F33" s="94"/>
      <c r="G33" s="94"/>
      <c r="H33" s="94"/>
      <c r="I33" s="83"/>
      <c r="J33" s="83"/>
      <c r="K33" s="84">
        <v>0</v>
      </c>
      <c r="L33" s="92">
        <f>(E33+F33+G33)*K33%</f>
        <v>0</v>
      </c>
      <c r="M33" s="43"/>
      <c r="N33" s="43"/>
      <c r="O33" s="43"/>
      <c r="P33" s="96">
        <f>(E33+F33+G33+H33)*0.2</f>
        <v>1069</v>
      </c>
      <c r="Q33" s="96">
        <f>E33*0.2</f>
        <v>1069</v>
      </c>
      <c r="R33" s="96"/>
      <c r="S33" s="96">
        <f>Q33+P33+E33</f>
        <v>7483</v>
      </c>
      <c r="T33" s="103"/>
      <c r="U33" s="103"/>
      <c r="V33" s="92">
        <f>S33*6+T33+U33</f>
        <v>44898</v>
      </c>
      <c r="W33" s="37"/>
      <c r="X33" s="37"/>
    </row>
    <row r="34" spans="1:24" s="25" customFormat="1" ht="26.25" customHeight="1">
      <c r="A34" s="44"/>
      <c r="B34" s="45" t="s">
        <v>33</v>
      </c>
      <c r="C34" s="110">
        <f>SUM(C17:C33)</f>
        <v>12.01</v>
      </c>
      <c r="D34" s="110">
        <f>SUM(D17:D33)</f>
        <v>62622</v>
      </c>
      <c r="E34" s="110">
        <f t="shared" ref="E34:J34" si="0">E33+E32+E30+E28+E27+E26+E23+E20+E19+E17</f>
        <v>73855.110000000015</v>
      </c>
      <c r="F34" s="110">
        <f t="shared" si="0"/>
        <v>2349.5</v>
      </c>
      <c r="G34" s="110">
        <f t="shared" si="0"/>
        <v>0</v>
      </c>
      <c r="H34" s="110">
        <f t="shared" si="0"/>
        <v>0</v>
      </c>
      <c r="I34" s="110">
        <f t="shared" si="0"/>
        <v>0</v>
      </c>
      <c r="J34" s="110">
        <f t="shared" si="0"/>
        <v>4229.0999999999995</v>
      </c>
      <c r="K34" s="110"/>
      <c r="L34" s="110">
        <f>SUM(L17:L33)</f>
        <v>21257.883000000005</v>
      </c>
      <c r="M34" s="110">
        <f>M33+M32+M30+M28+M27+M26+M23+M20+M19+M17</f>
        <v>0</v>
      </c>
      <c r="N34" s="110">
        <f>N33+N32+N30+N28+N27+N26+N23+N20+N19+N17</f>
        <v>0</v>
      </c>
      <c r="O34" s="110">
        <f>O33+O32+O30+O28+O27+O26+O23+O20+O19+O17</f>
        <v>0</v>
      </c>
      <c r="P34" s="110">
        <f>P17+P19+P20+P23+P26+P27+P28+P30+P32+P33</f>
        <v>15240.922000000002</v>
      </c>
      <c r="Q34" s="110">
        <f t="shared" ref="Q34:V34" si="1">Q33+Q32+Q30+Q28+Q27+Q26+Q23+Q20+Q19+Q17</f>
        <v>3452.3420000000006</v>
      </c>
      <c r="R34" s="110">
        <f t="shared" si="1"/>
        <v>0</v>
      </c>
      <c r="S34" s="110">
        <f t="shared" si="1"/>
        <v>120384.85699999999</v>
      </c>
      <c r="T34" s="110">
        <f t="shared" si="1"/>
        <v>0</v>
      </c>
      <c r="U34" s="110">
        <f t="shared" si="1"/>
        <v>0</v>
      </c>
      <c r="V34" s="110">
        <f t="shared" si="1"/>
        <v>722309.14200000011</v>
      </c>
      <c r="W34" s="37">
        <f>S34*6</f>
        <v>722309.14199999999</v>
      </c>
      <c r="X34" s="37"/>
    </row>
    <row r="35" spans="1:24" s="25" customFormat="1" ht="15" customHeight="1">
      <c r="A35" s="46">
        <v>1</v>
      </c>
      <c r="B35" s="47" t="s">
        <v>34</v>
      </c>
      <c r="C35" s="35">
        <v>1</v>
      </c>
      <c r="D35" s="99">
        <v>4379</v>
      </c>
      <c r="E35" s="99">
        <f t="shared" ref="E35:E48" si="2">D35*C35</f>
        <v>4379</v>
      </c>
      <c r="F35" s="99"/>
      <c r="G35" s="99"/>
      <c r="H35" s="99"/>
      <c r="I35" s="89"/>
      <c r="J35" s="89">
        <f>D35*0.25</f>
        <v>1094.75</v>
      </c>
      <c r="K35" s="38"/>
      <c r="L35" s="48"/>
      <c r="M35" s="42"/>
      <c r="N35" s="49"/>
      <c r="O35" s="42"/>
      <c r="P35" s="85"/>
      <c r="Q35" s="85"/>
      <c r="R35" s="85">
        <f t="shared" ref="R35:R42" si="3">6000*C35-(E35+F35+J35+L35)</f>
        <v>526.25</v>
      </c>
      <c r="S35" s="85">
        <f>E35+J35+F35+M35+O35+R35</f>
        <v>6000</v>
      </c>
      <c r="T35" s="36"/>
      <c r="U35" s="50">
        <v>0</v>
      </c>
      <c r="V35" s="86">
        <f t="shared" ref="V35:V48" si="4">S35*6+U35</f>
        <v>36000</v>
      </c>
      <c r="W35" s="37"/>
      <c r="X35" s="37"/>
    </row>
    <row r="36" spans="1:24" s="25" customFormat="1" ht="12.75" customHeight="1">
      <c r="A36" s="46">
        <v>2</v>
      </c>
      <c r="B36" s="47" t="s">
        <v>35</v>
      </c>
      <c r="C36" s="35">
        <v>2</v>
      </c>
      <c r="D36" s="99">
        <v>3391</v>
      </c>
      <c r="E36" s="99">
        <f t="shared" si="2"/>
        <v>6782</v>
      </c>
      <c r="F36" s="99"/>
      <c r="G36" s="99"/>
      <c r="H36" s="99"/>
      <c r="I36" s="89"/>
      <c r="J36" s="89"/>
      <c r="K36" s="34"/>
      <c r="L36" s="48"/>
      <c r="M36" s="42"/>
      <c r="N36" s="49">
        <v>4</v>
      </c>
      <c r="O36" s="42">
        <f>E36*N36/100</f>
        <v>271.27999999999997</v>
      </c>
      <c r="P36" s="85"/>
      <c r="Q36" s="85"/>
      <c r="R36" s="85">
        <f t="shared" si="3"/>
        <v>5218</v>
      </c>
      <c r="S36" s="85">
        <f t="shared" ref="S36:S42" si="5">E36+J36+F36+M36+O36+R36</f>
        <v>12271.279999999999</v>
      </c>
      <c r="T36" s="85"/>
      <c r="U36" s="50">
        <v>0</v>
      </c>
      <c r="V36" s="86">
        <f t="shared" si="4"/>
        <v>73627.679999999993</v>
      </c>
      <c r="W36" s="37"/>
      <c r="X36" s="37"/>
    </row>
    <row r="37" spans="1:24" s="25" customFormat="1" ht="20.25" customHeight="1">
      <c r="A37" s="46">
        <v>3</v>
      </c>
      <c r="B37" s="47" t="s">
        <v>36</v>
      </c>
      <c r="C37" s="35">
        <v>1</v>
      </c>
      <c r="D37" s="99">
        <v>2670</v>
      </c>
      <c r="E37" s="99">
        <f t="shared" si="2"/>
        <v>2670</v>
      </c>
      <c r="F37" s="99"/>
      <c r="G37" s="99"/>
      <c r="H37" s="99"/>
      <c r="I37" s="89"/>
      <c r="J37" s="89"/>
      <c r="K37" s="34"/>
      <c r="L37" s="48"/>
      <c r="M37" s="42"/>
      <c r="N37" s="49">
        <v>10</v>
      </c>
      <c r="O37" s="42">
        <f>E37*N37/100</f>
        <v>267</v>
      </c>
      <c r="P37" s="85"/>
      <c r="Q37" s="85"/>
      <c r="R37" s="85">
        <f t="shared" si="3"/>
        <v>3330</v>
      </c>
      <c r="S37" s="85">
        <f t="shared" si="5"/>
        <v>6267</v>
      </c>
      <c r="T37" s="85"/>
      <c r="U37" s="50">
        <v>0</v>
      </c>
      <c r="V37" s="86">
        <f t="shared" si="4"/>
        <v>37602</v>
      </c>
      <c r="W37" s="37"/>
      <c r="X37" s="37"/>
    </row>
    <row r="38" spans="1:24" s="25" customFormat="1" ht="32.25" customHeight="1">
      <c r="A38" s="46">
        <v>4</v>
      </c>
      <c r="B38" s="97" t="s">
        <v>37</v>
      </c>
      <c r="C38" s="35">
        <v>0.5</v>
      </c>
      <c r="D38" s="99">
        <v>4379</v>
      </c>
      <c r="E38" s="99">
        <f t="shared" si="2"/>
        <v>2189.5</v>
      </c>
      <c r="F38" s="99"/>
      <c r="G38" s="99"/>
      <c r="H38" s="99"/>
      <c r="I38" s="89"/>
      <c r="J38" s="89"/>
      <c r="K38" s="34"/>
      <c r="L38" s="48"/>
      <c r="M38" s="42"/>
      <c r="N38" s="49"/>
      <c r="O38" s="42"/>
      <c r="P38" s="85"/>
      <c r="Q38" s="85"/>
      <c r="R38" s="85">
        <f t="shared" si="3"/>
        <v>810.5</v>
      </c>
      <c r="S38" s="85">
        <f t="shared" si="5"/>
        <v>3000</v>
      </c>
      <c r="T38" s="85"/>
      <c r="U38" s="50">
        <v>0</v>
      </c>
      <c r="V38" s="86">
        <f t="shared" si="4"/>
        <v>18000</v>
      </c>
      <c r="W38" s="37"/>
      <c r="X38" s="37"/>
    </row>
    <row r="39" spans="1:24" s="25" customFormat="1" ht="12.75" customHeight="1">
      <c r="A39" s="46">
        <v>5</v>
      </c>
      <c r="B39" s="97" t="s">
        <v>38</v>
      </c>
      <c r="C39" s="35">
        <v>0.5</v>
      </c>
      <c r="D39" s="99">
        <v>2910</v>
      </c>
      <c r="E39" s="99">
        <f t="shared" si="2"/>
        <v>1455</v>
      </c>
      <c r="F39" s="99"/>
      <c r="G39" s="99"/>
      <c r="H39" s="99"/>
      <c r="I39" s="89"/>
      <c r="J39" s="89"/>
      <c r="K39" s="34"/>
      <c r="L39" s="48"/>
      <c r="M39" s="42"/>
      <c r="N39" s="49"/>
      <c r="O39" s="42"/>
      <c r="P39" s="85"/>
      <c r="Q39" s="85"/>
      <c r="R39" s="85">
        <f t="shared" si="3"/>
        <v>1545</v>
      </c>
      <c r="S39" s="85">
        <f t="shared" si="5"/>
        <v>3000</v>
      </c>
      <c r="T39" s="85"/>
      <c r="U39" s="50">
        <v>0</v>
      </c>
      <c r="V39" s="86">
        <f t="shared" si="4"/>
        <v>18000</v>
      </c>
      <c r="W39" s="37"/>
      <c r="X39" s="37"/>
    </row>
    <row r="40" spans="1:24" s="25" customFormat="1" ht="31.5" customHeight="1">
      <c r="A40" s="46">
        <v>6</v>
      </c>
      <c r="B40" s="97" t="s">
        <v>39</v>
      </c>
      <c r="C40" s="51">
        <v>1</v>
      </c>
      <c r="D40" s="89">
        <v>2910</v>
      </c>
      <c r="E40" s="89">
        <f t="shared" si="2"/>
        <v>2910</v>
      </c>
      <c r="F40" s="89"/>
      <c r="G40" s="89"/>
      <c r="H40" s="89"/>
      <c r="I40" s="89"/>
      <c r="J40" s="89"/>
      <c r="K40" s="34"/>
      <c r="L40" s="48"/>
      <c r="M40" s="42"/>
      <c r="N40" s="49">
        <v>4</v>
      </c>
      <c r="O40" s="42">
        <f>E40*N40%</f>
        <v>116.4</v>
      </c>
      <c r="P40" s="85"/>
      <c r="Q40" s="85"/>
      <c r="R40" s="85">
        <f t="shared" si="3"/>
        <v>3090</v>
      </c>
      <c r="S40" s="85">
        <f t="shared" si="5"/>
        <v>6116.4</v>
      </c>
      <c r="T40" s="85"/>
      <c r="U40" s="50">
        <v>0</v>
      </c>
      <c r="V40" s="86">
        <f t="shared" si="4"/>
        <v>36698.399999999994</v>
      </c>
      <c r="W40" s="37"/>
      <c r="X40" s="37"/>
    </row>
    <row r="41" spans="1:24" s="25" customFormat="1" ht="25.5" customHeight="1">
      <c r="A41" s="46">
        <v>7</v>
      </c>
      <c r="B41" s="97" t="s">
        <v>40</v>
      </c>
      <c r="C41" s="51">
        <v>1</v>
      </c>
      <c r="D41" s="89">
        <v>2910</v>
      </c>
      <c r="E41" s="89">
        <f t="shared" si="2"/>
        <v>2910</v>
      </c>
      <c r="F41" s="89"/>
      <c r="G41" s="89"/>
      <c r="H41" s="89"/>
      <c r="I41" s="89"/>
      <c r="J41" s="89"/>
      <c r="K41" s="34"/>
      <c r="L41" s="48"/>
      <c r="M41" s="42"/>
      <c r="N41" s="49">
        <v>10</v>
      </c>
      <c r="O41" s="42">
        <f>E41*N41%</f>
        <v>291</v>
      </c>
      <c r="P41" s="85"/>
      <c r="Q41" s="85"/>
      <c r="R41" s="85">
        <f t="shared" si="3"/>
        <v>3090</v>
      </c>
      <c r="S41" s="85">
        <f t="shared" si="5"/>
        <v>6291</v>
      </c>
      <c r="T41" s="85"/>
      <c r="U41" s="50">
        <v>0</v>
      </c>
      <c r="V41" s="86">
        <f t="shared" si="4"/>
        <v>37746</v>
      </c>
      <c r="W41" s="37"/>
      <c r="X41" s="37"/>
    </row>
    <row r="42" spans="1:24" s="25" customFormat="1" ht="21" customHeight="1">
      <c r="A42" s="46">
        <v>8</v>
      </c>
      <c r="B42" s="97" t="s">
        <v>41</v>
      </c>
      <c r="C42" s="51">
        <v>2</v>
      </c>
      <c r="D42" s="89">
        <v>3872</v>
      </c>
      <c r="E42" s="89">
        <f t="shared" si="2"/>
        <v>7744</v>
      </c>
      <c r="F42" s="89"/>
      <c r="G42" s="89"/>
      <c r="H42" s="89"/>
      <c r="I42" s="89"/>
      <c r="J42" s="89"/>
      <c r="K42" s="34"/>
      <c r="L42" s="48"/>
      <c r="M42" s="42"/>
      <c r="N42" s="49">
        <v>10</v>
      </c>
      <c r="O42" s="42">
        <f>E42*N42%</f>
        <v>774.40000000000009</v>
      </c>
      <c r="P42" s="85"/>
      <c r="Q42" s="85"/>
      <c r="R42" s="85">
        <f t="shared" si="3"/>
        <v>4256</v>
      </c>
      <c r="S42" s="85">
        <f t="shared" si="5"/>
        <v>12774.4</v>
      </c>
      <c r="T42" s="85"/>
      <c r="U42" s="50">
        <v>0</v>
      </c>
      <c r="V42" s="86">
        <f t="shared" si="4"/>
        <v>76646.399999999994</v>
      </c>
      <c r="W42" s="37"/>
      <c r="X42" s="37"/>
    </row>
    <row r="43" spans="1:24" s="25" customFormat="1" ht="34.5" customHeight="1">
      <c r="A43" s="46">
        <v>10</v>
      </c>
      <c r="B43" s="97" t="s">
        <v>42</v>
      </c>
      <c r="C43" s="51">
        <v>1</v>
      </c>
      <c r="D43" s="89">
        <v>3872</v>
      </c>
      <c r="E43" s="89">
        <f t="shared" si="2"/>
        <v>3872</v>
      </c>
      <c r="F43" s="52"/>
      <c r="G43" s="89"/>
      <c r="H43" s="89"/>
      <c r="I43" s="89"/>
      <c r="J43" s="89"/>
      <c r="K43" s="34"/>
      <c r="L43" s="48"/>
      <c r="M43" s="42"/>
      <c r="N43" s="49">
        <v>10</v>
      </c>
      <c r="O43" s="42">
        <f>(E43+F43)*N43%</f>
        <v>387.20000000000005</v>
      </c>
      <c r="P43" s="85"/>
      <c r="Q43" s="85">
        <f>E43*0.2</f>
        <v>774.40000000000009</v>
      </c>
      <c r="R43" s="85">
        <f>6000*C43-(E43+F43+J43+L43+Q43)</f>
        <v>1353.6000000000004</v>
      </c>
      <c r="S43" s="85">
        <f>E43+J43+M43+O43+R43+F43+Q43</f>
        <v>6387.2000000000007</v>
      </c>
      <c r="T43" s="85"/>
      <c r="U43" s="50">
        <v>0</v>
      </c>
      <c r="V43" s="86">
        <f t="shared" si="4"/>
        <v>38323.200000000004</v>
      </c>
      <c r="W43" s="37"/>
      <c r="X43" s="37"/>
    </row>
    <row r="44" spans="1:24" s="25" customFormat="1" ht="13.5" customHeight="1">
      <c r="A44" s="46">
        <v>11</v>
      </c>
      <c r="B44" s="97" t="s">
        <v>43</v>
      </c>
      <c r="C44" s="51">
        <v>1.1299999999999999</v>
      </c>
      <c r="D44" s="89">
        <v>3872</v>
      </c>
      <c r="E44" s="89">
        <f>D44*C44</f>
        <v>4375.3599999999997</v>
      </c>
      <c r="F44" s="89"/>
      <c r="G44" s="89"/>
      <c r="H44" s="89"/>
      <c r="I44" s="89"/>
      <c r="J44" s="89"/>
      <c r="K44" s="34"/>
      <c r="L44" s="48"/>
      <c r="M44" s="48"/>
      <c r="N44" s="53">
        <v>10</v>
      </c>
      <c r="O44" s="48">
        <f>E44*N44%</f>
        <v>437.536</v>
      </c>
      <c r="P44" s="86"/>
      <c r="Q44" s="86"/>
      <c r="R44" s="86">
        <f>6000*C44-(E44+F44+J44+L44)</f>
        <v>2404.6399999999994</v>
      </c>
      <c r="S44" s="86">
        <f>E44+J44+F44+M44+O44+R44</f>
        <v>7217.5359999999991</v>
      </c>
      <c r="T44" s="86"/>
      <c r="U44" s="50">
        <v>0</v>
      </c>
      <c r="V44" s="86">
        <f t="shared" si="4"/>
        <v>43305.215999999993</v>
      </c>
      <c r="W44" s="37"/>
      <c r="X44" s="37"/>
    </row>
    <row r="45" spans="1:24" s="32" customFormat="1" ht="13.5" customHeight="1">
      <c r="A45" s="46">
        <v>12</v>
      </c>
      <c r="B45" s="97" t="s">
        <v>44</v>
      </c>
      <c r="C45" s="51">
        <v>3</v>
      </c>
      <c r="D45" s="89">
        <v>2910</v>
      </c>
      <c r="E45" s="89">
        <f t="shared" si="2"/>
        <v>8730</v>
      </c>
      <c r="F45" s="89"/>
      <c r="G45" s="89"/>
      <c r="H45" s="89"/>
      <c r="I45" s="89"/>
      <c r="J45" s="89"/>
      <c r="K45" s="34"/>
      <c r="L45" s="48"/>
      <c r="M45" s="86">
        <f>D45*1.4/167*23*3</f>
        <v>1683.269461077844</v>
      </c>
      <c r="N45" s="48"/>
      <c r="O45" s="48"/>
      <c r="P45" s="86"/>
      <c r="Q45" s="86"/>
      <c r="R45" s="86">
        <f>6000*C45-(E45+F45+J45+L45)</f>
        <v>9270</v>
      </c>
      <c r="S45" s="86">
        <f>E45+J45+F45+M45+O45+R45</f>
        <v>19683.269461077842</v>
      </c>
      <c r="T45" s="86"/>
      <c r="U45" s="50">
        <v>0</v>
      </c>
      <c r="V45" s="86">
        <f t="shared" si="4"/>
        <v>118099.61676646705</v>
      </c>
      <c r="W45" s="37"/>
      <c r="X45" s="37"/>
    </row>
    <row r="46" spans="1:24" s="32" customFormat="1" ht="13.5" customHeight="1">
      <c r="A46" s="46">
        <v>13</v>
      </c>
      <c r="B46" s="107" t="s">
        <v>52</v>
      </c>
      <c r="C46" s="51">
        <v>2.5</v>
      </c>
      <c r="D46" s="106">
        <v>2910</v>
      </c>
      <c r="E46" s="106">
        <f t="shared" si="2"/>
        <v>7275</v>
      </c>
      <c r="F46" s="106"/>
      <c r="G46" s="106"/>
      <c r="H46" s="106"/>
      <c r="I46" s="106"/>
      <c r="J46" s="106"/>
      <c r="K46" s="34"/>
      <c r="L46" s="48"/>
      <c r="M46" s="108">
        <f>D46*1.4/167*23*3</f>
        <v>1683.269461077844</v>
      </c>
      <c r="N46" s="48"/>
      <c r="O46" s="48"/>
      <c r="P46" s="108"/>
      <c r="Q46" s="108"/>
      <c r="R46" s="108">
        <f>6000*C46-(E46+F46+J46+L46)</f>
        <v>7725</v>
      </c>
      <c r="S46" s="108">
        <f>E46+J46+F46+M46+O46+R46</f>
        <v>16683.269461077842</v>
      </c>
      <c r="T46" s="108"/>
      <c r="U46" s="50"/>
      <c r="V46" s="109">
        <f t="shared" si="4"/>
        <v>100099.61676646705</v>
      </c>
      <c r="W46" s="37"/>
      <c r="X46" s="37"/>
    </row>
    <row r="47" spans="1:24" s="25" customFormat="1" ht="15.75" customHeight="1">
      <c r="A47" s="46">
        <v>14</v>
      </c>
      <c r="B47" s="97" t="s">
        <v>45</v>
      </c>
      <c r="C47" s="51">
        <v>1</v>
      </c>
      <c r="D47" s="89">
        <v>2670</v>
      </c>
      <c r="E47" s="89">
        <f t="shared" si="2"/>
        <v>2670</v>
      </c>
      <c r="F47" s="89"/>
      <c r="G47" s="89"/>
      <c r="H47" s="89"/>
      <c r="I47" s="89"/>
      <c r="J47" s="89"/>
      <c r="K47" s="34"/>
      <c r="L47" s="48"/>
      <c r="M47" s="48"/>
      <c r="N47" s="48"/>
      <c r="O47" s="48"/>
      <c r="P47" s="86"/>
      <c r="Q47" s="86"/>
      <c r="R47" s="86">
        <f>6000*C47-(E47+F47+J47+L47)</f>
        <v>3330</v>
      </c>
      <c r="S47" s="86">
        <f>E47+J47+F47+M47+O47+R47</f>
        <v>6000</v>
      </c>
      <c r="T47" s="86"/>
      <c r="U47" s="50">
        <v>0</v>
      </c>
      <c r="V47" s="86">
        <f t="shared" si="4"/>
        <v>36000</v>
      </c>
      <c r="W47" s="37"/>
      <c r="X47" s="37"/>
    </row>
    <row r="48" spans="1:24" s="25" customFormat="1" ht="12" customHeight="1">
      <c r="A48" s="144">
        <v>15</v>
      </c>
      <c r="B48" s="146" t="s">
        <v>46</v>
      </c>
      <c r="C48" s="190">
        <v>1</v>
      </c>
      <c r="D48" s="164">
        <v>4619</v>
      </c>
      <c r="E48" s="164">
        <f t="shared" si="2"/>
        <v>4619</v>
      </c>
      <c r="F48" s="150"/>
      <c r="G48" s="164"/>
      <c r="H48" s="164"/>
      <c r="I48" s="164"/>
      <c r="J48" s="164"/>
      <c r="K48" s="141">
        <v>30</v>
      </c>
      <c r="L48" s="154">
        <f>E48*0.3</f>
        <v>1385.7</v>
      </c>
      <c r="M48" s="193"/>
      <c r="N48" s="53">
        <v>10</v>
      </c>
      <c r="O48" s="48">
        <f>E48*10%</f>
        <v>461.90000000000003</v>
      </c>
      <c r="P48" s="154"/>
      <c r="Q48" s="91"/>
      <c r="R48" s="154"/>
      <c r="S48" s="154">
        <f>E48+L48+O48+O49+P48+R48+R49</f>
        <v>6928.4999999999991</v>
      </c>
      <c r="T48" s="183"/>
      <c r="U48" s="183">
        <v>0</v>
      </c>
      <c r="V48" s="154">
        <f t="shared" si="4"/>
        <v>41570.999999999993</v>
      </c>
      <c r="W48" s="37"/>
      <c r="X48" s="37"/>
    </row>
    <row r="49" spans="1:24" s="25" customFormat="1" ht="10.5" customHeight="1">
      <c r="A49" s="145"/>
      <c r="B49" s="147"/>
      <c r="C49" s="191"/>
      <c r="D49" s="165"/>
      <c r="E49" s="165"/>
      <c r="F49" s="151"/>
      <c r="G49" s="165"/>
      <c r="H49" s="165"/>
      <c r="I49" s="165"/>
      <c r="J49" s="165"/>
      <c r="K49" s="142"/>
      <c r="L49" s="156"/>
      <c r="M49" s="194"/>
      <c r="N49" s="53">
        <v>10</v>
      </c>
      <c r="O49" s="48">
        <f>E48*10%</f>
        <v>461.90000000000003</v>
      </c>
      <c r="P49" s="156"/>
      <c r="Q49" s="92"/>
      <c r="R49" s="156"/>
      <c r="S49" s="156"/>
      <c r="T49" s="184"/>
      <c r="U49" s="184"/>
      <c r="V49" s="156"/>
      <c r="W49" s="37"/>
      <c r="X49" s="37"/>
    </row>
    <row r="50" spans="1:24" s="25" customFormat="1" ht="27.75" customHeight="1">
      <c r="A50" s="87">
        <v>16</v>
      </c>
      <c r="B50" s="54" t="s">
        <v>47</v>
      </c>
      <c r="C50" s="55">
        <v>0.5</v>
      </c>
      <c r="D50" s="56">
        <v>4379</v>
      </c>
      <c r="E50" s="56">
        <f>D50*C50</f>
        <v>2189.5</v>
      </c>
      <c r="F50" s="94"/>
      <c r="G50" s="83"/>
      <c r="H50" s="83"/>
      <c r="I50" s="83"/>
      <c r="J50" s="83"/>
      <c r="K50" s="84">
        <v>30</v>
      </c>
      <c r="L50" s="92">
        <f>E50*0.3</f>
        <v>656.85</v>
      </c>
      <c r="M50" s="93"/>
      <c r="N50" s="57"/>
      <c r="O50" s="93"/>
      <c r="P50" s="92"/>
      <c r="Q50" s="92"/>
      <c r="R50" s="86">
        <f>6000*C50-(E50+F50+J50+L50)</f>
        <v>153.65000000000009</v>
      </c>
      <c r="S50" s="92">
        <f>E50+L50+P50+R50</f>
        <v>3000</v>
      </c>
      <c r="T50" s="90"/>
      <c r="U50" s="58">
        <v>0</v>
      </c>
      <c r="V50" s="92">
        <f>S50*6+U50</f>
        <v>18000</v>
      </c>
      <c r="W50" s="37"/>
      <c r="X50" s="37"/>
    </row>
    <row r="51" spans="1:24" s="27" customFormat="1" ht="14.25">
      <c r="A51" s="59"/>
      <c r="B51" s="60" t="s">
        <v>48</v>
      </c>
      <c r="C51" s="61">
        <f>SUM(C35:C50)</f>
        <v>19.13</v>
      </c>
      <c r="D51" s="61"/>
      <c r="E51" s="62">
        <f t="shared" ref="E51:J51" si="6">SUM(E35:E50)</f>
        <v>64770.36</v>
      </c>
      <c r="F51" s="63">
        <f t="shared" si="6"/>
        <v>0</v>
      </c>
      <c r="G51" s="62">
        <f t="shared" si="6"/>
        <v>0</v>
      </c>
      <c r="H51" s="62">
        <f t="shared" si="6"/>
        <v>0</v>
      </c>
      <c r="I51" s="63">
        <f t="shared" si="6"/>
        <v>0</v>
      </c>
      <c r="J51" s="63">
        <f t="shared" si="6"/>
        <v>1094.75</v>
      </c>
      <c r="K51" s="63"/>
      <c r="L51" s="63">
        <f>SUM(L35:L50)</f>
        <v>2042.5500000000002</v>
      </c>
      <c r="M51" s="63">
        <f>SUM(M35:M50)</f>
        <v>3366.5389221556879</v>
      </c>
      <c r="N51" s="63"/>
      <c r="O51" s="63">
        <f t="shared" ref="O51:V51" si="7">SUM(O35:O50)</f>
        <v>3468.616</v>
      </c>
      <c r="P51" s="63">
        <f t="shared" si="7"/>
        <v>0</v>
      </c>
      <c r="Q51" s="63">
        <f t="shared" si="7"/>
        <v>774.40000000000009</v>
      </c>
      <c r="R51" s="63">
        <f t="shared" si="7"/>
        <v>46102.64</v>
      </c>
      <c r="S51" s="63">
        <f t="shared" si="7"/>
        <v>121619.85492215568</v>
      </c>
      <c r="T51" s="63">
        <f t="shared" si="7"/>
        <v>0</v>
      </c>
      <c r="U51" s="62">
        <f t="shared" si="7"/>
        <v>0</v>
      </c>
      <c r="V51" s="62">
        <f t="shared" si="7"/>
        <v>729719.12953293417</v>
      </c>
      <c r="W51" s="37">
        <f>S51*6</f>
        <v>729719.12953293405</v>
      </c>
      <c r="X51" s="37"/>
    </row>
    <row r="52" spans="1:24" s="1" customFormat="1">
      <c r="A52" s="44"/>
      <c r="B52" s="64" t="s">
        <v>49</v>
      </c>
      <c r="C52" s="65">
        <f>C34+C51</f>
        <v>31.14</v>
      </c>
      <c r="D52" s="65"/>
      <c r="E52" s="66">
        <f t="shared" ref="E52:J52" si="8">E34+E51</f>
        <v>138625.47000000003</v>
      </c>
      <c r="F52" s="67">
        <f t="shared" si="8"/>
        <v>2349.5</v>
      </c>
      <c r="G52" s="66">
        <f t="shared" si="8"/>
        <v>0</v>
      </c>
      <c r="H52" s="66">
        <f t="shared" si="8"/>
        <v>0</v>
      </c>
      <c r="I52" s="66">
        <f t="shared" si="8"/>
        <v>0</v>
      </c>
      <c r="J52" s="66">
        <f t="shared" si="8"/>
        <v>5323.8499999999995</v>
      </c>
      <c r="K52" s="66"/>
      <c r="L52" s="66">
        <f>L34+L51</f>
        <v>23300.433000000005</v>
      </c>
      <c r="M52" s="66">
        <f>M34+M51</f>
        <v>3366.5389221556879</v>
      </c>
      <c r="N52" s="66"/>
      <c r="O52" s="66">
        <f t="shared" ref="O52:V52" si="9">O34+O51</f>
        <v>3468.616</v>
      </c>
      <c r="P52" s="66">
        <f t="shared" si="9"/>
        <v>15240.922000000002</v>
      </c>
      <c r="Q52" s="66">
        <f t="shared" si="9"/>
        <v>4226.7420000000002</v>
      </c>
      <c r="R52" s="66">
        <f t="shared" si="9"/>
        <v>46102.64</v>
      </c>
      <c r="S52" s="66">
        <f t="shared" si="9"/>
        <v>242004.71192215566</v>
      </c>
      <c r="T52" s="66">
        <f t="shared" si="9"/>
        <v>0</v>
      </c>
      <c r="U52" s="66">
        <f t="shared" si="9"/>
        <v>0</v>
      </c>
      <c r="V52" s="66">
        <f t="shared" si="9"/>
        <v>1452028.2715329342</v>
      </c>
      <c r="W52" s="37">
        <f>S52*6</f>
        <v>1452028.2715329339</v>
      </c>
      <c r="X52" s="37"/>
    </row>
    <row r="53" spans="1:24" s="1" customFormat="1">
      <c r="A53" s="68"/>
      <c r="B53" s="69"/>
      <c r="C53" s="70"/>
      <c r="D53" s="70"/>
      <c r="E53" s="70"/>
      <c r="F53" s="71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37"/>
      <c r="X53" s="37"/>
    </row>
    <row r="54" spans="1:24" s="1" customFormat="1">
      <c r="A54" s="68"/>
      <c r="B54" s="69"/>
      <c r="C54" s="70"/>
      <c r="D54" s="70"/>
      <c r="E54" s="70"/>
      <c r="F54" s="71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37"/>
      <c r="X54" s="37"/>
    </row>
    <row r="55" spans="1:24" s="1" customFormat="1">
      <c r="A55" s="68"/>
      <c r="B55" s="69"/>
      <c r="C55" s="70"/>
      <c r="D55" s="70"/>
      <c r="E55" s="70"/>
      <c r="F55" s="71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37"/>
      <c r="X55" s="37"/>
    </row>
    <row r="56" spans="1:24" s="27" customFormat="1" ht="14.25">
      <c r="A56" s="72"/>
      <c r="B56" s="16"/>
      <c r="C56" s="72"/>
      <c r="D56" s="73"/>
      <c r="E56" s="73"/>
      <c r="F56" s="74"/>
      <c r="G56" s="75"/>
      <c r="H56" s="72"/>
      <c r="I56" s="72"/>
      <c r="J56" s="72"/>
      <c r="K56" s="16" t="s">
        <v>50</v>
      </c>
      <c r="L56" s="16"/>
      <c r="M56" s="76"/>
      <c r="N56" s="76"/>
      <c r="O56" s="73"/>
      <c r="P56" s="16" t="s">
        <v>51</v>
      </c>
      <c r="Q56" s="16"/>
      <c r="R56" s="77"/>
      <c r="S56" s="78"/>
      <c r="T56" s="78"/>
      <c r="U56" s="78"/>
      <c r="V56" s="78"/>
      <c r="W56" s="37"/>
      <c r="X56" s="37"/>
    </row>
    <row r="57" spans="1:24" s="1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37"/>
      <c r="X57" s="37"/>
    </row>
    <row r="58" spans="1:24">
      <c r="V58" s="80">
        <f>S52*6</f>
        <v>1452028.2715329339</v>
      </c>
    </row>
    <row r="60" spans="1:24">
      <c r="B60" s="79"/>
      <c r="E60" s="81"/>
      <c r="O60" s="81"/>
    </row>
    <row r="61" spans="1:24">
      <c r="O61" s="81"/>
      <c r="S61" s="82"/>
    </row>
    <row r="62" spans="1:24">
      <c r="E62" s="81"/>
      <c r="R62" s="81"/>
      <c r="S62" s="82"/>
    </row>
    <row r="64" spans="1:24">
      <c r="R64" s="82"/>
    </row>
    <row r="65" spans="18:18">
      <c r="R65" s="81"/>
    </row>
    <row r="66" spans="18:18">
      <c r="R66" s="81"/>
    </row>
  </sheetData>
  <mergeCells count="153">
    <mergeCell ref="H48:H49"/>
    <mergeCell ref="I48:I49"/>
    <mergeCell ref="J48:J49"/>
    <mergeCell ref="K48:K49"/>
    <mergeCell ref="T30:T31"/>
    <mergeCell ref="U30:U31"/>
    <mergeCell ref="V30:V31"/>
    <mergeCell ref="A48:A49"/>
    <mergeCell ref="B48:B49"/>
    <mergeCell ref="C48:C49"/>
    <mergeCell ref="D48:D49"/>
    <mergeCell ref="E48:E49"/>
    <mergeCell ref="I30:I31"/>
    <mergeCell ref="J30:J31"/>
    <mergeCell ref="M30:M31"/>
    <mergeCell ref="N30:N31"/>
    <mergeCell ref="O30:O31"/>
    <mergeCell ref="P30:P31"/>
    <mergeCell ref="U48:U49"/>
    <mergeCell ref="V48:V49"/>
    <mergeCell ref="L48:L49"/>
    <mergeCell ref="M48:M49"/>
    <mergeCell ref="P48:P49"/>
    <mergeCell ref="R48:R49"/>
    <mergeCell ref="S48:S49"/>
    <mergeCell ref="T48:T49"/>
    <mergeCell ref="F48:F49"/>
    <mergeCell ref="G48:G49"/>
    <mergeCell ref="U28:U29"/>
    <mergeCell ref="V28:V29"/>
    <mergeCell ref="A30:A31"/>
    <mergeCell ref="B30:B31"/>
    <mergeCell ref="C30:C31"/>
    <mergeCell ref="D30:D31"/>
    <mergeCell ref="E30:E31"/>
    <mergeCell ref="F30:F31"/>
    <mergeCell ref="G30:G31"/>
    <mergeCell ref="H30:H31"/>
    <mergeCell ref="O28:O29"/>
    <mergeCell ref="P28:P29"/>
    <mergeCell ref="Q28:Q29"/>
    <mergeCell ref="R28:R29"/>
    <mergeCell ref="S28:S29"/>
    <mergeCell ref="T28:T29"/>
    <mergeCell ref="I28:I29"/>
    <mergeCell ref="J28:J29"/>
    <mergeCell ref="K28:K29"/>
    <mergeCell ref="L28:L29"/>
    <mergeCell ref="M28:M29"/>
    <mergeCell ref="N28:N29"/>
    <mergeCell ref="R30:R31"/>
    <mergeCell ref="S30:S31"/>
    <mergeCell ref="A28:A29"/>
    <mergeCell ref="B28:B29"/>
    <mergeCell ref="C28:C29"/>
    <mergeCell ref="D28:D29"/>
    <mergeCell ref="E28:E29"/>
    <mergeCell ref="F28:F29"/>
    <mergeCell ref="G28:G29"/>
    <mergeCell ref="H28:H29"/>
    <mergeCell ref="U23:U25"/>
    <mergeCell ref="V23:V25"/>
    <mergeCell ref="P23:P25"/>
    <mergeCell ref="Q23:Q25"/>
    <mergeCell ref="R23:R25"/>
    <mergeCell ref="S23:S25"/>
    <mergeCell ref="T23:T25"/>
    <mergeCell ref="K23:K25"/>
    <mergeCell ref="L23:L25"/>
    <mergeCell ref="K20:K22"/>
    <mergeCell ref="L20:L22"/>
    <mergeCell ref="G20:G22"/>
    <mergeCell ref="H20:H22"/>
    <mergeCell ref="I20:I22"/>
    <mergeCell ref="J20:J22"/>
    <mergeCell ref="O23:O25"/>
    <mergeCell ref="G23:G25"/>
    <mergeCell ref="H23:H25"/>
    <mergeCell ref="I23:I25"/>
    <mergeCell ref="J23:J25"/>
    <mergeCell ref="M23:M25"/>
    <mergeCell ref="N23:N25"/>
    <mergeCell ref="A23:A25"/>
    <mergeCell ref="B23:B25"/>
    <mergeCell ref="C23:C25"/>
    <mergeCell ref="D23:D25"/>
    <mergeCell ref="E23:E25"/>
    <mergeCell ref="F23:F25"/>
    <mergeCell ref="A20:A22"/>
    <mergeCell ref="B20:B22"/>
    <mergeCell ref="C20:C22"/>
    <mergeCell ref="D20:D22"/>
    <mergeCell ref="E20:E22"/>
    <mergeCell ref="F20:F22"/>
    <mergeCell ref="V20:V22"/>
    <mergeCell ref="O20:O22"/>
    <mergeCell ref="P20:P22"/>
    <mergeCell ref="R20:R22"/>
    <mergeCell ref="S20:S22"/>
    <mergeCell ref="T20:T22"/>
    <mergeCell ref="U20:U22"/>
    <mergeCell ref="S8:S16"/>
    <mergeCell ref="T8:T16"/>
    <mergeCell ref="U8:U16"/>
    <mergeCell ref="P17:P18"/>
    <mergeCell ref="Q17:Q18"/>
    <mergeCell ref="R17:R18"/>
    <mergeCell ref="V17:V18"/>
    <mergeCell ref="V8:V16"/>
    <mergeCell ref="P8:P16"/>
    <mergeCell ref="Q8:Q16"/>
    <mergeCell ref="R8:R16"/>
    <mergeCell ref="S17:S18"/>
    <mergeCell ref="T17:T18"/>
    <mergeCell ref="U17:U18"/>
    <mergeCell ref="N17:N18"/>
    <mergeCell ref="O17:O18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20:M22"/>
    <mergeCell ref="N20:N22"/>
    <mergeCell ref="R2:V2"/>
    <mergeCell ref="R3:V3"/>
    <mergeCell ref="F6:M6"/>
    <mergeCell ref="A8:A16"/>
    <mergeCell ref="B8:B16"/>
    <mergeCell ref="C8:C16"/>
    <mergeCell ref="D8:D16"/>
    <mergeCell ref="E8:E16"/>
    <mergeCell ref="F8:H10"/>
    <mergeCell ref="I8:L10"/>
    <mergeCell ref="M8:O10"/>
    <mergeCell ref="L15:L16"/>
    <mergeCell ref="F11:F16"/>
    <mergeCell ref="G11:G16"/>
    <mergeCell ref="H11:H16"/>
    <mergeCell ref="I11:I16"/>
    <mergeCell ref="J11:J16"/>
    <mergeCell ref="K11:L14"/>
    <mergeCell ref="M11:M15"/>
    <mergeCell ref="N11:O15"/>
    <mergeCell ref="K15:K16"/>
    <mergeCell ref="M17:M18"/>
  </mergeCells>
  <printOptions horizontalCentered="1" verticalCentered="1"/>
  <pageMargins left="0.51181102362204722" right="0.51181102362204722" top="0.55118110236220474" bottom="0.31496062992125984" header="0.31496062992125984" footer="0.31496062992125984"/>
  <pageSetup paperSize="9" scale="59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01.01.21  (2)</vt:lpstr>
      <vt:lpstr>'01.01.21 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2020-11-25T12:14:26Z</cp:lastPrinted>
  <dcterms:created xsi:type="dcterms:W3CDTF">2020-10-30T08:46:34Z</dcterms:created>
  <dcterms:modified xsi:type="dcterms:W3CDTF">2020-12-03T14:33:05Z</dcterms:modified>
</cp:coreProperties>
</file>